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730" windowHeight="9585"/>
  </bookViews>
  <sheets>
    <sheet name="1021_5fa369b8a84f8" sheetId="1" r:id="rId1"/>
  </sheets>
  <definedNames>
    <definedName name="_xlnm._FilterDatabase" localSheetId="0" hidden="1">'1021_5fa369b8a84f8'!$A$3:$J$59</definedName>
    <definedName name="_xlnm.Print_Titles" localSheetId="0">'1021_5fa369b8a84f8'!$3:$3</definedName>
  </definedNames>
  <calcPr calcId="124519"/>
</workbook>
</file>

<file path=xl/calcChain.xml><?xml version="1.0" encoding="utf-8"?>
<calcChain xmlns="http://schemas.openxmlformats.org/spreadsheetml/2006/main">
  <c r="D7" i="1"/>
  <c r="D13"/>
  <c r="D14"/>
  <c r="D15"/>
  <c r="D17"/>
  <c r="D19"/>
  <c r="D21"/>
  <c r="D25"/>
  <c r="D28"/>
  <c r="D30"/>
  <c r="D32"/>
  <c r="D37"/>
  <c r="D38"/>
  <c r="D45"/>
  <c r="D46"/>
  <c r="D48"/>
  <c r="D49"/>
  <c r="D56"/>
  <c r="D58"/>
  <c r="H39"/>
  <c r="H43"/>
  <c r="H9"/>
  <c r="H26"/>
  <c r="H28"/>
  <c r="H19"/>
  <c r="H33"/>
  <c r="H47"/>
  <c r="H16"/>
  <c r="H59"/>
  <c r="H17"/>
  <c r="H15"/>
  <c r="H52"/>
  <c r="H7"/>
  <c r="H30"/>
  <c r="H11"/>
  <c r="H13"/>
  <c r="H48"/>
  <c r="H14"/>
  <c r="H25"/>
  <c r="H34"/>
  <c r="H55"/>
  <c r="H42"/>
  <c r="H20"/>
  <c r="H58"/>
  <c r="H5"/>
  <c r="H41"/>
  <c r="H31"/>
  <c r="H38"/>
  <c r="H8"/>
  <c r="H35"/>
  <c r="H40"/>
  <c r="H4"/>
  <c r="H56"/>
  <c r="H51"/>
  <c r="H10"/>
  <c r="H54"/>
  <c r="H29"/>
  <c r="H36"/>
  <c r="H53"/>
  <c r="H37"/>
  <c r="H32"/>
  <c r="H57"/>
  <c r="H18"/>
  <c r="H50"/>
  <c r="H22"/>
  <c r="H49"/>
  <c r="H12"/>
  <c r="H27"/>
  <c r="H21"/>
  <c r="H44"/>
  <c r="H46"/>
  <c r="H6"/>
  <c r="H23"/>
  <c r="H45"/>
  <c r="H24"/>
  <c r="C33"/>
  <c r="D33"/>
  <c r="E33"/>
  <c r="C38"/>
  <c r="E38"/>
  <c r="C55"/>
  <c r="D55"/>
  <c r="E55"/>
  <c r="C57"/>
  <c r="D57"/>
  <c r="E57"/>
  <c r="C40"/>
  <c r="D40"/>
  <c r="E40"/>
  <c r="C52"/>
  <c r="D52"/>
  <c r="E52"/>
  <c r="C27"/>
  <c r="D27"/>
  <c r="E27"/>
  <c r="C14"/>
  <c r="E14"/>
  <c r="C46"/>
  <c r="E46"/>
  <c r="C9"/>
  <c r="D9"/>
  <c r="E9"/>
  <c r="C58"/>
  <c r="E58"/>
  <c r="C56"/>
  <c r="E56"/>
  <c r="C24"/>
  <c r="D24"/>
  <c r="E24"/>
  <c r="C11"/>
  <c r="D11"/>
  <c r="E11"/>
  <c r="C34"/>
  <c r="D34"/>
  <c r="E34"/>
  <c r="C15"/>
  <c r="E15"/>
  <c r="C26"/>
  <c r="D26"/>
  <c r="E26"/>
  <c r="C49"/>
  <c r="E49"/>
  <c r="C54"/>
  <c r="D54"/>
  <c r="E54"/>
  <c r="C22"/>
  <c r="D22"/>
  <c r="E22"/>
  <c r="C39"/>
  <c r="D39"/>
  <c r="E39"/>
  <c r="C20"/>
  <c r="D20"/>
  <c r="E20"/>
  <c r="C41"/>
  <c r="D41"/>
  <c r="E41"/>
  <c r="C53"/>
  <c r="D53"/>
  <c r="E53"/>
  <c r="C21"/>
  <c r="E21"/>
  <c r="C59"/>
  <c r="D59"/>
  <c r="E59"/>
  <c r="C37"/>
  <c r="E37"/>
  <c r="C16"/>
  <c r="D16"/>
  <c r="E16"/>
  <c r="C12"/>
  <c r="D12"/>
  <c r="E12"/>
  <c r="C25"/>
  <c r="E25"/>
  <c r="C13"/>
  <c r="E13"/>
  <c r="C19"/>
  <c r="E19"/>
  <c r="C48"/>
  <c r="E48"/>
  <c r="C51"/>
  <c r="D51"/>
  <c r="E51"/>
  <c r="C32"/>
  <c r="E32"/>
  <c r="C42"/>
  <c r="D42"/>
  <c r="E42"/>
  <c r="C50"/>
  <c r="D50"/>
  <c r="E50"/>
  <c r="C8"/>
  <c r="D8"/>
  <c r="E8"/>
  <c r="C6"/>
  <c r="D6"/>
  <c r="E6"/>
  <c r="C4"/>
  <c r="D4"/>
  <c r="E4"/>
  <c r="C47"/>
  <c r="D47"/>
  <c r="E47"/>
  <c r="C28"/>
  <c r="E28"/>
  <c r="C29"/>
  <c r="D29"/>
  <c r="E29"/>
  <c r="C31"/>
  <c r="D31"/>
  <c r="E31"/>
  <c r="C30"/>
  <c r="E30"/>
  <c r="C44"/>
  <c r="D44"/>
  <c r="E44"/>
  <c r="C43"/>
  <c r="D43"/>
  <c r="E43"/>
  <c r="C35"/>
  <c r="D35"/>
  <c r="E35"/>
  <c r="C7"/>
  <c r="E7"/>
  <c r="C5"/>
  <c r="D5"/>
  <c r="E5"/>
  <c r="C45"/>
  <c r="E45"/>
  <c r="C23"/>
  <c r="D23"/>
  <c r="E23"/>
  <c r="C17"/>
  <c r="E17"/>
  <c r="C18"/>
  <c r="D18"/>
  <c r="E18"/>
  <c r="C10"/>
  <c r="D10"/>
  <c r="E10"/>
  <c r="C36"/>
  <c r="D36"/>
  <c r="E36"/>
</calcChain>
</file>

<file path=xl/sharedStrings.xml><?xml version="1.0" encoding="utf-8"?>
<sst xmlns="http://schemas.openxmlformats.org/spreadsheetml/2006/main" count="68" uniqueCount="23">
  <si>
    <t>报考岗位</t>
  </si>
  <si>
    <t>姓名</t>
  </si>
  <si>
    <t>现工作单位</t>
  </si>
  <si>
    <t>准考证号</t>
  </si>
  <si>
    <t>10_管理十级</t>
  </si>
  <si>
    <t>08_管理十级</t>
  </si>
  <si>
    <t>11_管理十级</t>
  </si>
  <si>
    <t>09_管理十级</t>
  </si>
  <si>
    <t>03_管理十级</t>
  </si>
  <si>
    <t>02_管理十级</t>
  </si>
  <si>
    <t>01_管理十级</t>
  </si>
  <si>
    <t>07_管理十级</t>
  </si>
  <si>
    <t>04_管理十级</t>
  </si>
  <si>
    <t>06_管理十级</t>
  </si>
  <si>
    <t>05_管理十级</t>
  </si>
  <si>
    <t>笔试成绩</t>
  </si>
  <si>
    <t>序号</t>
    <phoneticPr fontId="2" type="noConversion"/>
  </si>
  <si>
    <t>附件：</t>
    <phoneticPr fontId="2" type="noConversion"/>
  </si>
  <si>
    <t>面试成绩</t>
    <phoneticPr fontId="2" type="noConversion"/>
  </si>
  <si>
    <t>总成绩</t>
    <phoneticPr fontId="2" type="noConversion"/>
  </si>
  <si>
    <t>岗位内排名</t>
    <phoneticPr fontId="2" type="noConversion"/>
  </si>
  <si>
    <t>备注</t>
    <phoneticPr fontId="2" type="noConversion"/>
  </si>
  <si>
    <t>如皋市面向大学生村官定向招聘镇（区、街道）事业单位工作人员拟聘用人员名单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</si>
</sst>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2" borderId="6" applyNumberFormat="0" applyAlignment="0" applyProtection="0">
      <alignment vertical="center"/>
    </xf>
    <xf numFmtId="0" fontId="13" fillId="23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view="pageLayout" workbookViewId="0">
      <selection activeCell="A2" sqref="A2:J2"/>
    </sheetView>
  </sheetViews>
  <sheetFormatPr defaultRowHeight="13.5"/>
  <cols>
    <col min="1" max="1" width="5.375" customWidth="1"/>
    <col min="2" max="2" width="12.375" customWidth="1"/>
    <col min="3" max="3" width="8.25" bestFit="1" customWidth="1"/>
    <col min="4" max="4" width="42" customWidth="1"/>
    <col min="5" max="5" width="14.125" bestFit="1" customWidth="1"/>
    <col min="6" max="6" width="10.5" bestFit="1" customWidth="1"/>
    <col min="7" max="7" width="10.5" style="1" bestFit="1" customWidth="1"/>
    <col min="8" max="8" width="8.25" style="1" bestFit="1" customWidth="1"/>
    <col min="9" max="9" width="12.875" bestFit="1" customWidth="1"/>
    <col min="10" max="10" width="15.375" bestFit="1" customWidth="1"/>
  </cols>
  <sheetData>
    <row r="1" spans="1:10" ht="18.75" customHeight="1">
      <c r="A1" t="s">
        <v>17</v>
      </c>
    </row>
    <row r="2" spans="1:10" ht="27.75" customHeight="1">
      <c r="A2" s="7" t="s">
        <v>22</v>
      </c>
      <c r="B2" s="8"/>
      <c r="C2" s="8"/>
      <c r="D2" s="8"/>
      <c r="E2" s="8"/>
      <c r="F2" s="8"/>
      <c r="G2" s="8"/>
      <c r="H2" s="8"/>
      <c r="I2" s="8"/>
      <c r="J2" s="9"/>
    </row>
    <row r="3" spans="1:10" ht="18" customHeight="1">
      <c r="A3" s="2" t="s">
        <v>16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15</v>
      </c>
      <c r="G3" s="3" t="s">
        <v>18</v>
      </c>
      <c r="H3" s="3" t="s">
        <v>19</v>
      </c>
      <c r="I3" s="2" t="s">
        <v>20</v>
      </c>
      <c r="J3" s="2" t="s">
        <v>21</v>
      </c>
    </row>
    <row r="4" spans="1:10" ht="18" customHeight="1">
      <c r="A4" s="2">
        <v>1</v>
      </c>
      <c r="B4" s="2" t="s">
        <v>10</v>
      </c>
      <c r="C4" s="2" t="str">
        <f>"陈飞"</f>
        <v>陈飞</v>
      </c>
      <c r="D4" s="2" t="str">
        <f>"如皋经济开发区城北街道柴湾社区"</f>
        <v>如皋经济开发区城北街道柴湾社区</v>
      </c>
      <c r="E4" s="2" t="str">
        <f>"20006010502"</f>
        <v>20006010502</v>
      </c>
      <c r="F4" s="2">
        <v>89.5</v>
      </c>
      <c r="G4" s="3">
        <v>77.099999999999994</v>
      </c>
      <c r="H4" s="3">
        <f t="shared" ref="H4:H17" si="0">F4*0.5+G4*0.5</f>
        <v>83.3</v>
      </c>
      <c r="I4" s="2">
        <v>1</v>
      </c>
      <c r="J4" s="4"/>
    </row>
    <row r="5" spans="1:10" ht="18" customHeight="1">
      <c r="A5" s="2">
        <v>2</v>
      </c>
      <c r="B5" s="2" t="s">
        <v>10</v>
      </c>
      <c r="C5" s="2" t="str">
        <f>"徐海旭"</f>
        <v>徐海旭</v>
      </c>
      <c r="D5" s="2" t="str">
        <f>"江苏省如皋市城北街道城北社区居委会"</f>
        <v>江苏省如皋市城北街道城北社区居委会</v>
      </c>
      <c r="E5" s="2" t="str">
        <f>"20006010327"</f>
        <v>20006010327</v>
      </c>
      <c r="F5" s="2">
        <v>81</v>
      </c>
      <c r="G5" s="3">
        <v>75.3</v>
      </c>
      <c r="H5" s="3">
        <f t="shared" si="0"/>
        <v>78.150000000000006</v>
      </c>
      <c r="I5" s="2">
        <v>2</v>
      </c>
      <c r="J5" s="5"/>
    </row>
    <row r="6" spans="1:10" ht="18" customHeight="1">
      <c r="A6" s="2">
        <v>3</v>
      </c>
      <c r="B6" s="2" t="s">
        <v>10</v>
      </c>
      <c r="C6" s="2" t="str">
        <f>"张晖宇"</f>
        <v>张晖宇</v>
      </c>
      <c r="D6" s="2" t="str">
        <f>"如皋市磨头镇老户村"</f>
        <v>如皋市磨头镇老户村</v>
      </c>
      <c r="E6" s="2" t="str">
        <f>"20006010618"</f>
        <v>20006010618</v>
      </c>
      <c r="F6" s="2">
        <v>79.5</v>
      </c>
      <c r="G6" s="3">
        <v>75.38</v>
      </c>
      <c r="H6" s="3">
        <f t="shared" si="0"/>
        <v>77.44</v>
      </c>
      <c r="I6" s="2">
        <v>3</v>
      </c>
      <c r="J6" s="6"/>
    </row>
    <row r="7" spans="1:10" ht="18" customHeight="1">
      <c r="A7" s="2">
        <v>4</v>
      </c>
      <c r="B7" s="2" t="s">
        <v>9</v>
      </c>
      <c r="C7" s="2" t="str">
        <f>"何晓龙"</f>
        <v>何晓龙</v>
      </c>
      <c r="D7" s="2" t="str">
        <f>"如皋市九华镇丝渔村村民委员会"</f>
        <v>如皋市九华镇丝渔村村民委员会</v>
      </c>
      <c r="E7" s="2" t="str">
        <f>"20006010226"</f>
        <v>20006010226</v>
      </c>
      <c r="F7" s="2">
        <v>86.5</v>
      </c>
      <c r="G7" s="3">
        <v>72.62</v>
      </c>
      <c r="H7" s="3">
        <f t="shared" si="0"/>
        <v>79.56</v>
      </c>
      <c r="I7" s="2">
        <v>1</v>
      </c>
      <c r="J7" s="4"/>
    </row>
    <row r="8" spans="1:10" ht="18" customHeight="1">
      <c r="A8" s="2">
        <v>5</v>
      </c>
      <c r="B8" s="2" t="s">
        <v>9</v>
      </c>
      <c r="C8" s="2" t="str">
        <f>"姜新新"</f>
        <v>姜新新</v>
      </c>
      <c r="D8" s="2" t="str">
        <f>"如皋市长江镇郭南村"</f>
        <v>如皋市长江镇郭南村</v>
      </c>
      <c r="E8" s="2" t="str">
        <f>"20006010418"</f>
        <v>20006010418</v>
      </c>
      <c r="F8" s="2">
        <v>83</v>
      </c>
      <c r="G8" s="3">
        <v>74.02</v>
      </c>
      <c r="H8" s="3">
        <f t="shared" si="0"/>
        <v>78.509999999999991</v>
      </c>
      <c r="I8" s="2">
        <v>2</v>
      </c>
      <c r="J8" s="5"/>
    </row>
    <row r="9" spans="1:10" ht="18" customHeight="1">
      <c r="A9" s="2">
        <v>6</v>
      </c>
      <c r="B9" s="2" t="s">
        <v>9</v>
      </c>
      <c r="C9" s="2" t="str">
        <f>"陈林娟"</f>
        <v>陈林娟</v>
      </c>
      <c r="D9" s="2" t="str">
        <f>"如皋市如城街道龙游河村"</f>
        <v>如皋市如城街道龙游河村</v>
      </c>
      <c r="E9" s="2" t="str">
        <f>"20006010110"</f>
        <v>20006010110</v>
      </c>
      <c r="F9" s="2">
        <v>77</v>
      </c>
      <c r="G9" s="3">
        <v>74.66</v>
      </c>
      <c r="H9" s="3">
        <f t="shared" si="0"/>
        <v>75.83</v>
      </c>
      <c r="I9" s="2">
        <v>3</v>
      </c>
      <c r="J9" s="5"/>
    </row>
    <row r="10" spans="1:10" ht="18" customHeight="1">
      <c r="A10" s="2">
        <v>7</v>
      </c>
      <c r="B10" s="2" t="s">
        <v>9</v>
      </c>
      <c r="C10" s="2" t="str">
        <f>"徐国兵"</f>
        <v>徐国兵</v>
      </c>
      <c r="D10" s="2" t="str">
        <f>"如皋市白蒲镇邓杨村村民委员会"</f>
        <v>如皋市白蒲镇邓杨村村民委员会</v>
      </c>
      <c r="E10" s="2" t="str">
        <f>"20006010511"</f>
        <v>20006010511</v>
      </c>
      <c r="F10" s="2">
        <v>81</v>
      </c>
      <c r="G10" s="3">
        <v>70.2</v>
      </c>
      <c r="H10" s="3">
        <f t="shared" si="0"/>
        <v>75.599999999999994</v>
      </c>
      <c r="I10" s="2">
        <v>4</v>
      </c>
      <c r="J10" s="5"/>
    </row>
    <row r="11" spans="1:10" ht="18" customHeight="1">
      <c r="A11" s="2">
        <v>8</v>
      </c>
      <c r="B11" s="2" t="s">
        <v>9</v>
      </c>
      <c r="C11" s="2" t="str">
        <f>"曹晶"</f>
        <v>曹晶</v>
      </c>
      <c r="D11" s="2" t="str">
        <f>"如皋市长江镇田桥社区"</f>
        <v>如皋市长江镇田桥社区</v>
      </c>
      <c r="E11" s="2" t="str">
        <f>"20006010229"</f>
        <v>20006010229</v>
      </c>
      <c r="F11" s="2">
        <v>77</v>
      </c>
      <c r="G11" s="3">
        <v>73.12</v>
      </c>
      <c r="H11" s="3">
        <f t="shared" si="0"/>
        <v>75.06</v>
      </c>
      <c r="I11" s="2">
        <v>5</v>
      </c>
      <c r="J11" s="6"/>
    </row>
    <row r="12" spans="1:10" ht="18" customHeight="1">
      <c r="A12" s="2">
        <v>9</v>
      </c>
      <c r="B12" s="2" t="s">
        <v>8</v>
      </c>
      <c r="C12" s="2" t="str">
        <f>"陆慧"</f>
        <v>陆慧</v>
      </c>
      <c r="D12" s="2" t="str">
        <f>"如皋市东陈镇人民政府"</f>
        <v>如皋市东陈镇人民政府</v>
      </c>
      <c r="E12" s="2" t="str">
        <f>"20006010607"</f>
        <v>20006010607</v>
      </c>
      <c r="F12" s="2">
        <v>77</v>
      </c>
      <c r="G12" s="3">
        <v>79.8</v>
      </c>
      <c r="H12" s="3">
        <f t="shared" si="0"/>
        <v>78.400000000000006</v>
      </c>
      <c r="I12" s="2">
        <v>1</v>
      </c>
      <c r="J12" s="4"/>
    </row>
    <row r="13" spans="1:10" ht="18" customHeight="1">
      <c r="A13" s="2">
        <v>10</v>
      </c>
      <c r="B13" s="2" t="s">
        <v>8</v>
      </c>
      <c r="C13" s="2" t="str">
        <f>"谈日东"</f>
        <v>谈日东</v>
      </c>
      <c r="D13" s="2" t="str">
        <f>"如皋市城北街道朱厦村"</f>
        <v>如皋市城北街道朱厦村</v>
      </c>
      <c r="E13" s="2" t="str">
        <f>"20006010302"</f>
        <v>20006010302</v>
      </c>
      <c r="F13" s="2">
        <v>80.5</v>
      </c>
      <c r="G13" s="3">
        <v>75.28</v>
      </c>
      <c r="H13" s="3">
        <f t="shared" si="0"/>
        <v>77.89</v>
      </c>
      <c r="I13" s="2">
        <v>2</v>
      </c>
      <c r="J13" s="5"/>
    </row>
    <row r="14" spans="1:10" ht="18" customHeight="1">
      <c r="A14" s="2">
        <v>11</v>
      </c>
      <c r="B14" s="2" t="s">
        <v>8</v>
      </c>
      <c r="C14" s="2" t="str">
        <f>"高亚军"</f>
        <v>高亚军</v>
      </c>
      <c r="D14" s="2" t="str">
        <f>"如皋市丁堰镇人民政府"</f>
        <v>如皋市丁堰镇人民政府</v>
      </c>
      <c r="E14" s="2" t="str">
        <f>"20006010310"</f>
        <v>20006010310</v>
      </c>
      <c r="F14" s="2">
        <v>79.5</v>
      </c>
      <c r="G14" s="3">
        <v>76</v>
      </c>
      <c r="H14" s="3">
        <f t="shared" si="0"/>
        <v>77.75</v>
      </c>
      <c r="I14" s="2">
        <v>3</v>
      </c>
      <c r="J14" s="5"/>
    </row>
    <row r="15" spans="1:10" ht="18" customHeight="1">
      <c r="A15" s="2">
        <v>12</v>
      </c>
      <c r="B15" s="2" t="s">
        <v>8</v>
      </c>
      <c r="C15" s="2" t="str">
        <f>"沈丽丽"</f>
        <v>沈丽丽</v>
      </c>
      <c r="D15" s="2" t="str">
        <f>"如皋市东陈镇南庄村村民委员会"</f>
        <v>如皋市东陈镇南庄村村民委员会</v>
      </c>
      <c r="E15" s="2" t="str">
        <f>"20006010220"</f>
        <v>20006010220</v>
      </c>
      <c r="F15" s="2">
        <v>79</v>
      </c>
      <c r="G15" s="3">
        <v>75.92</v>
      </c>
      <c r="H15" s="3">
        <f t="shared" si="0"/>
        <v>77.460000000000008</v>
      </c>
      <c r="I15" s="2">
        <v>4</v>
      </c>
      <c r="J15" s="5"/>
    </row>
    <row r="16" spans="1:10" ht="18" customHeight="1">
      <c r="A16" s="2">
        <v>13</v>
      </c>
      <c r="B16" s="2" t="s">
        <v>8</v>
      </c>
      <c r="C16" s="2" t="str">
        <f>"柳阳"</f>
        <v>柳阳</v>
      </c>
      <c r="D16" s="2" t="str">
        <f>"如皋市如城街道贺洋社区"</f>
        <v>如皋市如城街道贺洋社区</v>
      </c>
      <c r="E16" s="2" t="str">
        <f>"20006010207"</f>
        <v>20006010207</v>
      </c>
      <c r="F16" s="2">
        <v>78.5</v>
      </c>
      <c r="G16" s="3">
        <v>75.78</v>
      </c>
      <c r="H16" s="3">
        <f t="shared" si="0"/>
        <v>77.14</v>
      </c>
      <c r="I16" s="2">
        <v>5</v>
      </c>
      <c r="J16" s="6"/>
    </row>
    <row r="17" spans="1:10" ht="18" customHeight="1">
      <c r="A17" s="2">
        <v>14</v>
      </c>
      <c r="B17" s="2" t="s">
        <v>12</v>
      </c>
      <c r="C17" s="2" t="str">
        <f>"罗金茹"</f>
        <v>罗金茹</v>
      </c>
      <c r="D17" s="2" t="str">
        <f>"如皋市如城街道城南社区"</f>
        <v>如皋市如城街道城南社区</v>
      </c>
      <c r="E17" s="2" t="str">
        <f>"20006010219"</f>
        <v>20006010219</v>
      </c>
      <c r="F17" s="2">
        <v>83.5</v>
      </c>
      <c r="G17" s="3">
        <v>73.239999999999995</v>
      </c>
      <c r="H17" s="3">
        <f t="shared" si="0"/>
        <v>78.37</v>
      </c>
      <c r="I17" s="2">
        <v>1</v>
      </c>
      <c r="J17" s="2"/>
    </row>
    <row r="18" spans="1:10" ht="18" customHeight="1">
      <c r="A18" s="2">
        <v>15</v>
      </c>
      <c r="B18" s="2" t="s">
        <v>14</v>
      </c>
      <c r="C18" s="2" t="str">
        <f>"邱元锋"</f>
        <v>邱元锋</v>
      </c>
      <c r="D18" s="2" t="str">
        <f>"如皋市城南街道张八里社区"</f>
        <v>如皋市城南街道张八里社区</v>
      </c>
      <c r="E18" s="2" t="str">
        <f>"20006010602"</f>
        <v>20006010602</v>
      </c>
      <c r="F18" s="2">
        <v>75.5</v>
      </c>
      <c r="G18" s="3">
        <v>71.48</v>
      </c>
      <c r="H18" s="3">
        <f t="shared" ref="H18:H35" si="1">F18*0.5+G18*0.5</f>
        <v>73.490000000000009</v>
      </c>
      <c r="I18" s="2">
        <v>1</v>
      </c>
      <c r="J18" s="4"/>
    </row>
    <row r="19" spans="1:10" ht="18" customHeight="1">
      <c r="A19" s="2">
        <v>16</v>
      </c>
      <c r="B19" s="2" t="s">
        <v>14</v>
      </c>
      <c r="C19" s="2" t="str">
        <f>"顾晓玲"</f>
        <v>顾晓玲</v>
      </c>
      <c r="D19" s="2" t="str">
        <f>"如皋市磨头镇政府"</f>
        <v>如皋市磨头镇政府</v>
      </c>
      <c r="E19" s="2" t="str">
        <f>"20006010120"</f>
        <v>20006010120</v>
      </c>
      <c r="F19" s="2">
        <v>77</v>
      </c>
      <c r="G19" s="3">
        <v>67.86</v>
      </c>
      <c r="H19" s="3">
        <f t="shared" si="1"/>
        <v>72.430000000000007</v>
      </c>
      <c r="I19" s="2">
        <v>2</v>
      </c>
      <c r="J19" s="6"/>
    </row>
    <row r="20" spans="1:10" ht="18" customHeight="1">
      <c r="A20" s="2">
        <v>17</v>
      </c>
      <c r="B20" s="2" t="s">
        <v>13</v>
      </c>
      <c r="C20" s="2" t="str">
        <f>"吴小娟"</f>
        <v>吴小娟</v>
      </c>
      <c r="D20" s="2" t="str">
        <f>"如皋市吴窑镇陈家村"</f>
        <v>如皋市吴窑镇陈家村</v>
      </c>
      <c r="E20" s="2" t="str">
        <f>"20006010324"</f>
        <v>20006010324</v>
      </c>
      <c r="F20" s="2">
        <v>79.5</v>
      </c>
      <c r="G20" s="3">
        <v>69.22</v>
      </c>
      <c r="H20" s="3">
        <f t="shared" si="1"/>
        <v>74.36</v>
      </c>
      <c r="I20" s="2">
        <v>1</v>
      </c>
      <c r="J20" s="4"/>
    </row>
    <row r="21" spans="1:10" ht="18" customHeight="1">
      <c r="A21" s="2">
        <v>18</v>
      </c>
      <c r="B21" s="2" t="s">
        <v>13</v>
      </c>
      <c r="C21" s="2" t="str">
        <f>"章爱莲"</f>
        <v>章爱莲</v>
      </c>
      <c r="D21" s="2" t="str">
        <f>"如皋市如城街道搬迁办"</f>
        <v>如皋市如城街道搬迁办</v>
      </c>
      <c r="E21" s="2" t="str">
        <f>"20006010614"</f>
        <v>20006010614</v>
      </c>
      <c r="F21" s="2">
        <v>78</v>
      </c>
      <c r="G21" s="3">
        <v>69.819999999999993</v>
      </c>
      <c r="H21" s="3">
        <f t="shared" si="1"/>
        <v>73.91</v>
      </c>
      <c r="I21" s="2">
        <v>2</v>
      </c>
      <c r="J21" s="6"/>
    </row>
    <row r="22" spans="1:10" ht="18" customHeight="1">
      <c r="A22" s="2">
        <v>19</v>
      </c>
      <c r="B22" s="2" t="s">
        <v>11</v>
      </c>
      <c r="C22" s="2" t="str">
        <f>"陆群"</f>
        <v>陆群</v>
      </c>
      <c r="D22" s="2" t="str">
        <f>"如皋市如城街道顾庄社区"</f>
        <v>如皋市如城街道顾庄社区</v>
      </c>
      <c r="E22" s="2" t="str">
        <f>"20006010605"</f>
        <v>20006010605</v>
      </c>
      <c r="F22" s="2">
        <v>83.5</v>
      </c>
      <c r="G22" s="3">
        <v>73.98</v>
      </c>
      <c r="H22" s="3">
        <f t="shared" si="1"/>
        <v>78.740000000000009</v>
      </c>
      <c r="I22" s="2">
        <v>1</v>
      </c>
      <c r="J22" s="4"/>
    </row>
    <row r="23" spans="1:10" ht="18" customHeight="1">
      <c r="A23" s="2">
        <v>20</v>
      </c>
      <c r="B23" s="2" t="s">
        <v>11</v>
      </c>
      <c r="C23" s="2" t="str">
        <f>"缪海波"</f>
        <v>缪海波</v>
      </c>
      <c r="D23" s="2" t="str">
        <f>"如皋市高新区（城南街道）新庄社区"</f>
        <v>如皋市高新区（城南街道）新庄社区</v>
      </c>
      <c r="E23" s="2" t="str">
        <f>"20006010619"</f>
        <v>20006010619</v>
      </c>
      <c r="F23" s="2">
        <v>81.5</v>
      </c>
      <c r="G23" s="3">
        <v>74.599999999999994</v>
      </c>
      <c r="H23" s="3">
        <f t="shared" si="1"/>
        <v>78.05</v>
      </c>
      <c r="I23" s="2">
        <v>2</v>
      </c>
      <c r="J23" s="5"/>
    </row>
    <row r="24" spans="1:10" ht="18" customHeight="1">
      <c r="A24" s="2">
        <v>21</v>
      </c>
      <c r="B24" s="2" t="s">
        <v>11</v>
      </c>
      <c r="C24" s="2" t="str">
        <f>"阙海鹏"</f>
        <v>阙海鹏</v>
      </c>
      <c r="D24" s="2" t="str">
        <f>"江苏省如皋市城北街道新生社区居民委员会"</f>
        <v>江苏省如皋市城北街道新生社区居民委员会</v>
      </c>
      <c r="E24" s="2" t="str">
        <f>"20006010101"</f>
        <v>20006010101</v>
      </c>
      <c r="F24" s="2">
        <v>79</v>
      </c>
      <c r="G24" s="3">
        <v>75.88</v>
      </c>
      <c r="H24" s="3">
        <f t="shared" si="1"/>
        <v>77.44</v>
      </c>
      <c r="I24" s="2">
        <v>3</v>
      </c>
      <c r="J24" s="5"/>
    </row>
    <row r="25" spans="1:10" ht="18" customHeight="1">
      <c r="A25" s="2">
        <v>22</v>
      </c>
      <c r="B25" s="2" t="s">
        <v>11</v>
      </c>
      <c r="C25" s="2" t="str">
        <f>"丁健"</f>
        <v>丁健</v>
      </c>
      <c r="D25" s="2" t="str">
        <f>"如皋市如城街道凌青村村委会"</f>
        <v>如皋市如城街道凌青村村委会</v>
      </c>
      <c r="E25" s="2" t="str">
        <f>"20006010311"</f>
        <v>20006010311</v>
      </c>
      <c r="F25" s="2">
        <v>80.5</v>
      </c>
      <c r="G25" s="3">
        <v>73.84</v>
      </c>
      <c r="H25" s="3">
        <f t="shared" si="1"/>
        <v>77.17</v>
      </c>
      <c r="I25" s="2">
        <v>4</v>
      </c>
      <c r="J25" s="5"/>
    </row>
    <row r="26" spans="1:10" ht="18" customHeight="1">
      <c r="A26" s="2">
        <v>23</v>
      </c>
      <c r="B26" s="2" t="s">
        <v>11</v>
      </c>
      <c r="C26" s="2" t="str">
        <f>"章铜"</f>
        <v>章铜</v>
      </c>
      <c r="D26" s="2" t="str">
        <f>"如皋市如城街道安定社区"</f>
        <v>如皋市如城街道安定社区</v>
      </c>
      <c r="E26" s="2" t="str">
        <f>"20006010111"</f>
        <v>20006010111</v>
      </c>
      <c r="F26" s="2">
        <v>76.5</v>
      </c>
      <c r="G26" s="3">
        <v>75.8</v>
      </c>
      <c r="H26" s="3">
        <f t="shared" si="1"/>
        <v>76.150000000000006</v>
      </c>
      <c r="I26" s="2">
        <v>5</v>
      </c>
      <c r="J26" s="5"/>
    </row>
    <row r="27" spans="1:10" ht="18" customHeight="1">
      <c r="A27" s="2">
        <v>24</v>
      </c>
      <c r="B27" s="2" t="s">
        <v>11</v>
      </c>
      <c r="C27" s="2" t="str">
        <f>"朱美娟"</f>
        <v>朱美娟</v>
      </c>
      <c r="D27" s="2" t="str">
        <f>"如皋市东陈镇汤湾村村民委员会"</f>
        <v>如皋市东陈镇汤湾村村民委员会</v>
      </c>
      <c r="E27" s="2" t="str">
        <f>"20006010612"</f>
        <v>20006010612</v>
      </c>
      <c r="F27" s="2">
        <v>78</v>
      </c>
      <c r="G27" s="3">
        <v>73.760000000000005</v>
      </c>
      <c r="H27" s="3">
        <f t="shared" si="1"/>
        <v>75.88</v>
      </c>
      <c r="I27" s="2">
        <v>6</v>
      </c>
      <c r="J27" s="5"/>
    </row>
    <row r="28" spans="1:10" ht="18" customHeight="1">
      <c r="A28" s="2">
        <v>25</v>
      </c>
      <c r="B28" s="2" t="s">
        <v>11</v>
      </c>
      <c r="C28" s="2" t="str">
        <f>"顾婷君"</f>
        <v>顾婷君</v>
      </c>
      <c r="D28" s="2" t="str">
        <f>"如皋市城北街道天河桥村"</f>
        <v>如皋市城北街道天河桥村</v>
      </c>
      <c r="E28" s="2" t="str">
        <f>"20006010117"</f>
        <v>20006010117</v>
      </c>
      <c r="F28" s="2">
        <v>78.5</v>
      </c>
      <c r="G28" s="3">
        <v>72.540000000000006</v>
      </c>
      <c r="H28" s="3">
        <f t="shared" si="1"/>
        <v>75.52000000000001</v>
      </c>
      <c r="I28" s="2">
        <v>7</v>
      </c>
      <c r="J28" s="5"/>
    </row>
    <row r="29" spans="1:10" ht="18" customHeight="1">
      <c r="A29" s="2">
        <v>26</v>
      </c>
      <c r="B29" s="2" t="s">
        <v>11</v>
      </c>
      <c r="C29" s="2" t="str">
        <f>"傅海洋"</f>
        <v>傅海洋</v>
      </c>
      <c r="D29" s="2" t="str">
        <f>"如皋市城北街道陆姚社区"</f>
        <v>如皋市城北街道陆姚社区</v>
      </c>
      <c r="E29" s="2" t="str">
        <f>"20006010518"</f>
        <v>20006010518</v>
      </c>
      <c r="F29" s="2">
        <v>79</v>
      </c>
      <c r="G29" s="3">
        <v>71.38</v>
      </c>
      <c r="H29" s="3">
        <f t="shared" si="1"/>
        <v>75.19</v>
      </c>
      <c r="I29" s="2">
        <v>8</v>
      </c>
      <c r="J29" s="5"/>
    </row>
    <row r="30" spans="1:10" ht="18" customHeight="1">
      <c r="A30" s="2">
        <v>27</v>
      </c>
      <c r="B30" s="2" t="s">
        <v>11</v>
      </c>
      <c r="C30" s="2" t="str">
        <f>"缪君"</f>
        <v>缪君</v>
      </c>
      <c r="D30" s="2" t="str">
        <f>"如皋市如城街道陆桥社区"</f>
        <v>如皋市如城街道陆桥社区</v>
      </c>
      <c r="E30" s="2" t="str">
        <f>"20006010227"</f>
        <v>20006010227</v>
      </c>
      <c r="F30" s="2">
        <v>78.5</v>
      </c>
      <c r="G30" s="3">
        <v>71.86</v>
      </c>
      <c r="H30" s="3">
        <f t="shared" si="1"/>
        <v>75.180000000000007</v>
      </c>
      <c r="I30" s="2">
        <v>9</v>
      </c>
      <c r="J30" s="6"/>
    </row>
    <row r="31" spans="1:10" ht="18" customHeight="1">
      <c r="A31" s="2">
        <v>28</v>
      </c>
      <c r="B31" s="2" t="s">
        <v>5</v>
      </c>
      <c r="C31" s="2" t="str">
        <f>"薛海静"</f>
        <v>薛海静</v>
      </c>
      <c r="D31" s="2" t="str">
        <f>"江苏省如皋市城南街道新华社区居民委员会"</f>
        <v>江苏省如皋市城南街道新华社区居民委员会</v>
      </c>
      <c r="E31" s="2" t="str">
        <f>"20006010401"</f>
        <v>20006010401</v>
      </c>
      <c r="F31" s="2">
        <v>82.5</v>
      </c>
      <c r="G31" s="3">
        <v>70.7</v>
      </c>
      <c r="H31" s="3">
        <f t="shared" si="1"/>
        <v>76.599999999999994</v>
      </c>
      <c r="I31" s="2">
        <v>1</v>
      </c>
      <c r="J31" s="4"/>
    </row>
    <row r="32" spans="1:10" ht="18" customHeight="1">
      <c r="A32" s="2">
        <v>29</v>
      </c>
      <c r="B32" s="2" t="s">
        <v>5</v>
      </c>
      <c r="C32" s="2" t="str">
        <f>"严铮铮"</f>
        <v>严铮铮</v>
      </c>
      <c r="D32" s="2" t="str">
        <f>"如皋市如城街道新官村村委会"</f>
        <v>如皋市如城街道新官村村委会</v>
      </c>
      <c r="E32" s="2" t="str">
        <f>"20006010526"</f>
        <v>20006010526</v>
      </c>
      <c r="F32" s="2">
        <v>81</v>
      </c>
      <c r="G32" s="3">
        <v>71.98</v>
      </c>
      <c r="H32" s="3">
        <f t="shared" si="1"/>
        <v>76.490000000000009</v>
      </c>
      <c r="I32" s="2">
        <v>2</v>
      </c>
      <c r="J32" s="5"/>
    </row>
    <row r="33" spans="1:10" ht="18" customHeight="1">
      <c r="A33" s="2">
        <v>30</v>
      </c>
      <c r="B33" s="2" t="s">
        <v>5</v>
      </c>
      <c r="C33" s="2" t="str">
        <f>"季添"</f>
        <v>季添</v>
      </c>
      <c r="D33" s="2" t="str">
        <f>"如皋市长江镇"</f>
        <v>如皋市长江镇</v>
      </c>
      <c r="E33" s="2" t="str">
        <f>"20006010130"</f>
        <v>20006010130</v>
      </c>
      <c r="F33" s="2">
        <v>78.5</v>
      </c>
      <c r="G33" s="3">
        <v>72.98</v>
      </c>
      <c r="H33" s="3">
        <f t="shared" si="1"/>
        <v>75.740000000000009</v>
      </c>
      <c r="I33" s="2">
        <v>3</v>
      </c>
      <c r="J33" s="5"/>
    </row>
    <row r="34" spans="1:10" ht="18" customHeight="1">
      <c r="A34" s="2">
        <v>31</v>
      </c>
      <c r="B34" s="2" t="s">
        <v>5</v>
      </c>
      <c r="C34" s="2" t="str">
        <f>"顾春霞"</f>
        <v>顾春霞</v>
      </c>
      <c r="D34" s="2" t="str">
        <f>"如皋市蚕种场有限公司"</f>
        <v>如皋市蚕种场有限公司</v>
      </c>
      <c r="E34" s="2" t="str">
        <f>"20006010313"</f>
        <v>20006010313</v>
      </c>
      <c r="F34" s="2">
        <v>76.5</v>
      </c>
      <c r="G34" s="3">
        <v>73.3</v>
      </c>
      <c r="H34" s="3">
        <f t="shared" si="1"/>
        <v>74.900000000000006</v>
      </c>
      <c r="I34" s="2">
        <v>5</v>
      </c>
      <c r="J34" s="5"/>
    </row>
    <row r="35" spans="1:10" ht="18" customHeight="1">
      <c r="A35" s="2">
        <v>32</v>
      </c>
      <c r="B35" s="2" t="s">
        <v>5</v>
      </c>
      <c r="C35" s="2" t="str">
        <f>"汪勇军"</f>
        <v>汪勇军</v>
      </c>
      <c r="D35" s="2" t="str">
        <f>"如皋市城北街道办事处 "</f>
        <v xml:space="preserve">如皋市城北街道办事处 </v>
      </c>
      <c r="E35" s="2" t="str">
        <f>"20006010421"</f>
        <v>20006010421</v>
      </c>
      <c r="F35" s="2">
        <v>77</v>
      </c>
      <c r="G35" s="3">
        <v>71.56</v>
      </c>
      <c r="H35" s="3">
        <f t="shared" si="1"/>
        <v>74.28</v>
      </c>
      <c r="I35" s="2">
        <v>6</v>
      </c>
      <c r="J35" s="6"/>
    </row>
    <row r="36" spans="1:10" ht="18" customHeight="1">
      <c r="A36" s="2">
        <v>33</v>
      </c>
      <c r="B36" s="2" t="s">
        <v>7</v>
      </c>
      <c r="C36" s="2" t="str">
        <f>"李世军"</f>
        <v>李世军</v>
      </c>
      <c r="D36" s="2" t="str">
        <f>"如皋市九华政府"</f>
        <v>如皋市九华政府</v>
      </c>
      <c r="E36" s="2" t="str">
        <f>"20006010519"</f>
        <v>20006010519</v>
      </c>
      <c r="F36" s="2">
        <v>83.5</v>
      </c>
      <c r="G36" s="3">
        <v>74.34</v>
      </c>
      <c r="H36" s="3">
        <f t="shared" ref="H36:H48" si="2">F36*0.5+G36*0.5</f>
        <v>78.92</v>
      </c>
      <c r="I36" s="2">
        <v>1</v>
      </c>
      <c r="J36" s="4"/>
    </row>
    <row r="37" spans="1:10" ht="18" customHeight="1">
      <c r="A37" s="2">
        <v>34</v>
      </c>
      <c r="B37" s="2" t="s">
        <v>7</v>
      </c>
      <c r="C37" s="2" t="str">
        <f>"周振华"</f>
        <v>周振华</v>
      </c>
      <c r="D37" s="2" t="str">
        <f>"如皋市磨头镇场东村"</f>
        <v>如皋市磨头镇场东村</v>
      </c>
      <c r="E37" s="2" t="str">
        <f>"20006010525"</f>
        <v>20006010525</v>
      </c>
      <c r="F37" s="2">
        <v>83</v>
      </c>
      <c r="G37" s="3">
        <v>72.86</v>
      </c>
      <c r="H37" s="3">
        <f t="shared" si="2"/>
        <v>77.930000000000007</v>
      </c>
      <c r="I37" s="2">
        <v>2</v>
      </c>
      <c r="J37" s="5"/>
    </row>
    <row r="38" spans="1:10" ht="18" customHeight="1">
      <c r="A38" s="2">
        <v>35</v>
      </c>
      <c r="B38" s="2" t="s">
        <v>7</v>
      </c>
      <c r="C38" s="2" t="str">
        <f>"侯蓉蓉"</f>
        <v>侯蓉蓉</v>
      </c>
      <c r="D38" s="2" t="str">
        <f>"如皋市如城街道红星社区"</f>
        <v>如皋市如城街道红星社区</v>
      </c>
      <c r="E38" s="2" t="str">
        <f>"20006010410"</f>
        <v>20006010410</v>
      </c>
      <c r="F38" s="2">
        <v>81.5</v>
      </c>
      <c r="G38" s="3">
        <v>73.8</v>
      </c>
      <c r="H38" s="3">
        <f t="shared" si="2"/>
        <v>77.650000000000006</v>
      </c>
      <c r="I38" s="2">
        <v>3</v>
      </c>
      <c r="J38" s="5"/>
    </row>
    <row r="39" spans="1:10" ht="18" customHeight="1">
      <c r="A39" s="2">
        <v>36</v>
      </c>
      <c r="B39" s="2" t="s">
        <v>7</v>
      </c>
      <c r="C39" s="2" t="str">
        <f>"徐伶俐"</f>
        <v>徐伶俐</v>
      </c>
      <c r="D39" s="2" t="str">
        <f>"如皋市石庄镇楼房村村委会"</f>
        <v>如皋市石庄镇楼房村村委会</v>
      </c>
      <c r="E39" s="2" t="str">
        <f>"20006010106"</f>
        <v>20006010106</v>
      </c>
      <c r="F39" s="2">
        <v>82.5</v>
      </c>
      <c r="G39" s="3">
        <v>71.739999999999995</v>
      </c>
      <c r="H39" s="3">
        <f t="shared" si="2"/>
        <v>77.12</v>
      </c>
      <c r="I39" s="2">
        <v>4</v>
      </c>
      <c r="J39" s="6"/>
    </row>
    <row r="40" spans="1:10" ht="18" customHeight="1">
      <c r="A40" s="2">
        <v>37</v>
      </c>
      <c r="B40" s="2" t="s">
        <v>4</v>
      </c>
      <c r="C40" s="2" t="str">
        <f>"刘琴琴"</f>
        <v>刘琴琴</v>
      </c>
      <c r="D40" s="2" t="str">
        <f>"如皋市长江镇永建社区居委会"</f>
        <v>如皋市长江镇永建社区居委会</v>
      </c>
      <c r="E40" s="2" t="str">
        <f>"20006010424"</f>
        <v>20006010424</v>
      </c>
      <c r="F40" s="2">
        <v>88</v>
      </c>
      <c r="G40" s="3">
        <v>75.72</v>
      </c>
      <c r="H40" s="3">
        <f t="shared" si="2"/>
        <v>81.86</v>
      </c>
      <c r="I40" s="2">
        <v>1</v>
      </c>
      <c r="J40" s="4"/>
    </row>
    <row r="41" spans="1:10" ht="18" customHeight="1">
      <c r="A41" s="2">
        <v>38</v>
      </c>
      <c r="B41" s="2" t="s">
        <v>4</v>
      </c>
      <c r="C41" s="2" t="str">
        <f>"卢应喜"</f>
        <v>卢应喜</v>
      </c>
      <c r="D41" s="2" t="str">
        <f>"如皋市江安镇合作村"</f>
        <v>如皋市江安镇合作村</v>
      </c>
      <c r="E41" s="2" t="str">
        <f>"20006010328"</f>
        <v>20006010328</v>
      </c>
      <c r="F41" s="2">
        <v>82.5</v>
      </c>
      <c r="G41" s="3">
        <v>77.900000000000006</v>
      </c>
      <c r="H41" s="3">
        <f t="shared" si="2"/>
        <v>80.2</v>
      </c>
      <c r="I41" s="2">
        <v>2</v>
      </c>
      <c r="J41" s="5"/>
    </row>
    <row r="42" spans="1:10" ht="18" customHeight="1">
      <c r="A42" s="2">
        <v>39</v>
      </c>
      <c r="B42" s="2" t="s">
        <v>4</v>
      </c>
      <c r="C42" s="2" t="str">
        <f>"景海霞"</f>
        <v>景海霞</v>
      </c>
      <c r="D42" s="2" t="str">
        <f>"如皋市搬经镇楼冯村"</f>
        <v>如皋市搬经镇楼冯村</v>
      </c>
      <c r="E42" s="2" t="str">
        <f>"20006010319"</f>
        <v>20006010319</v>
      </c>
      <c r="F42" s="2">
        <v>84.5</v>
      </c>
      <c r="G42" s="3">
        <v>75.34</v>
      </c>
      <c r="H42" s="3">
        <f t="shared" si="2"/>
        <v>79.92</v>
      </c>
      <c r="I42" s="2">
        <v>3</v>
      </c>
      <c r="J42" s="5"/>
    </row>
    <row r="43" spans="1:10" ht="18" customHeight="1">
      <c r="A43" s="2">
        <v>40</v>
      </c>
      <c r="B43" s="2" t="s">
        <v>4</v>
      </c>
      <c r="C43" s="2" t="str">
        <f>"周新锋"</f>
        <v>周新锋</v>
      </c>
      <c r="D43" s="2" t="str">
        <f>"如皋经济技术开发区管委会"</f>
        <v>如皋经济技术开发区管委会</v>
      </c>
      <c r="E43" s="2" t="str">
        <f>"20006010108"</f>
        <v>20006010108</v>
      </c>
      <c r="F43" s="2">
        <v>82</v>
      </c>
      <c r="G43" s="3">
        <v>75.08</v>
      </c>
      <c r="H43" s="3">
        <f t="shared" si="2"/>
        <v>78.539999999999992</v>
      </c>
      <c r="I43" s="2">
        <v>4</v>
      </c>
      <c r="J43" s="5"/>
    </row>
    <row r="44" spans="1:10" ht="18" customHeight="1">
      <c r="A44" s="2">
        <v>41</v>
      </c>
      <c r="B44" s="2" t="s">
        <v>4</v>
      </c>
      <c r="C44" s="2" t="str">
        <f>"石晓芳"</f>
        <v>石晓芳</v>
      </c>
      <c r="D44" s="2" t="str">
        <f>"如皋市江安镇戈堡社区"</f>
        <v>如皋市江安镇戈堡社区</v>
      </c>
      <c r="E44" s="2" t="str">
        <f>"20006010616"</f>
        <v>20006010616</v>
      </c>
      <c r="F44" s="2">
        <v>81.5</v>
      </c>
      <c r="G44" s="3">
        <v>74.98</v>
      </c>
      <c r="H44" s="3">
        <f t="shared" si="2"/>
        <v>78.240000000000009</v>
      </c>
      <c r="I44" s="2">
        <v>5</v>
      </c>
      <c r="J44" s="5"/>
    </row>
    <row r="45" spans="1:10" ht="18" customHeight="1">
      <c r="A45" s="2">
        <v>42</v>
      </c>
      <c r="B45" s="2" t="s">
        <v>4</v>
      </c>
      <c r="C45" s="2" t="str">
        <f>"陈小燕"</f>
        <v>陈小燕</v>
      </c>
      <c r="D45" s="2" t="str">
        <f>"如皋市如城街道新民社区"</f>
        <v>如皋市如城街道新民社区</v>
      </c>
      <c r="E45" s="2" t="str">
        <f>"20006010622"</f>
        <v>20006010622</v>
      </c>
      <c r="F45" s="2">
        <v>81</v>
      </c>
      <c r="G45" s="3">
        <v>75.099999999999994</v>
      </c>
      <c r="H45" s="3">
        <f t="shared" si="2"/>
        <v>78.05</v>
      </c>
      <c r="I45" s="2">
        <v>6</v>
      </c>
      <c r="J45" s="5"/>
    </row>
    <row r="46" spans="1:10" ht="18" customHeight="1">
      <c r="A46" s="2">
        <v>43</v>
      </c>
      <c r="B46" s="2" t="s">
        <v>4</v>
      </c>
      <c r="C46" s="2" t="str">
        <f>"钱海霞"</f>
        <v>钱海霞</v>
      </c>
      <c r="D46" s="2" t="str">
        <f>"如皋市白蒲镇跃进社区"</f>
        <v>如皋市白蒲镇跃进社区</v>
      </c>
      <c r="E46" s="2" t="str">
        <f>"20006010617"</f>
        <v>20006010617</v>
      </c>
      <c r="F46" s="2">
        <v>82</v>
      </c>
      <c r="G46" s="3">
        <v>72.7</v>
      </c>
      <c r="H46" s="3">
        <f t="shared" si="2"/>
        <v>77.349999999999994</v>
      </c>
      <c r="I46" s="2">
        <v>7</v>
      </c>
      <c r="J46" s="5"/>
    </row>
    <row r="47" spans="1:10" ht="18" customHeight="1">
      <c r="A47" s="2">
        <v>44</v>
      </c>
      <c r="B47" s="2" t="s">
        <v>4</v>
      </c>
      <c r="C47" s="2" t="str">
        <f>"邢海婷"</f>
        <v>邢海婷</v>
      </c>
      <c r="D47" s="2" t="str">
        <f>"如皋市城北街道里庄村"</f>
        <v>如皋市城北街道里庄村</v>
      </c>
      <c r="E47" s="2" t="str">
        <f>"20006010204"</f>
        <v>20006010204</v>
      </c>
      <c r="F47" s="2">
        <v>77.5</v>
      </c>
      <c r="G47" s="3">
        <v>75.98</v>
      </c>
      <c r="H47" s="3">
        <f t="shared" si="2"/>
        <v>76.740000000000009</v>
      </c>
      <c r="I47" s="2">
        <v>8</v>
      </c>
      <c r="J47" s="5"/>
    </row>
    <row r="48" spans="1:10" ht="18" customHeight="1">
      <c r="A48" s="2">
        <v>45</v>
      </c>
      <c r="B48" s="2" t="s">
        <v>4</v>
      </c>
      <c r="C48" s="2" t="str">
        <f>"洪晓云"</f>
        <v>洪晓云</v>
      </c>
      <c r="D48" s="2" t="str">
        <f>"如皋市城南街道平明社区"</f>
        <v>如皋市城南街道平明社区</v>
      </c>
      <c r="E48" s="2" t="str">
        <f>"20006010309"</f>
        <v>20006010309</v>
      </c>
      <c r="F48" s="2">
        <v>79.5</v>
      </c>
      <c r="G48" s="3">
        <v>73.959999999999994</v>
      </c>
      <c r="H48" s="3">
        <f t="shared" si="2"/>
        <v>76.72999999999999</v>
      </c>
      <c r="I48" s="2">
        <v>9</v>
      </c>
      <c r="J48" s="6"/>
    </row>
    <row r="49" spans="1:10" ht="18" customHeight="1">
      <c r="A49" s="2">
        <v>46</v>
      </c>
      <c r="B49" s="2" t="s">
        <v>6</v>
      </c>
      <c r="C49" s="2" t="str">
        <f>"季晶晶"</f>
        <v>季晶晶</v>
      </c>
      <c r="D49" s="2" t="str">
        <f>"如皋市搬经镇朱夏社区居民委员会"</f>
        <v>如皋市搬经镇朱夏社区居民委员会</v>
      </c>
      <c r="E49" s="2" t="str">
        <f>"20006010606"</f>
        <v>20006010606</v>
      </c>
      <c r="F49" s="2">
        <v>83</v>
      </c>
      <c r="G49" s="3">
        <v>74.08</v>
      </c>
      <c r="H49" s="3">
        <f t="shared" ref="H49:H59" si="3">F49*0.5+G49*0.5</f>
        <v>78.539999999999992</v>
      </c>
      <c r="I49" s="2">
        <v>1</v>
      </c>
      <c r="J49" s="4"/>
    </row>
    <row r="50" spans="1:10" ht="18" customHeight="1">
      <c r="A50" s="2">
        <v>47</v>
      </c>
      <c r="B50" s="2" t="s">
        <v>6</v>
      </c>
      <c r="C50" s="2" t="str">
        <f>"刘小芬"</f>
        <v>刘小芬</v>
      </c>
      <c r="D50" s="2" t="str">
        <f>"如皋市下原镇陈桥村村委会"</f>
        <v>如皋市下原镇陈桥村村委会</v>
      </c>
      <c r="E50" s="2" t="str">
        <f>"20006010604"</f>
        <v>20006010604</v>
      </c>
      <c r="F50" s="2">
        <v>82</v>
      </c>
      <c r="G50" s="3">
        <v>75.02</v>
      </c>
      <c r="H50" s="3">
        <f t="shared" si="3"/>
        <v>78.509999999999991</v>
      </c>
      <c r="I50" s="2">
        <v>2</v>
      </c>
      <c r="J50" s="5"/>
    </row>
    <row r="51" spans="1:10" ht="18" customHeight="1">
      <c r="A51" s="2">
        <v>48</v>
      </c>
      <c r="B51" s="2" t="s">
        <v>6</v>
      </c>
      <c r="C51" s="2" t="str">
        <f>"周晶香"</f>
        <v>周晶香</v>
      </c>
      <c r="D51" s="2" t="str">
        <f>"如皋市如城街道凌青村"</f>
        <v>如皋市如城街道凌青村</v>
      </c>
      <c r="E51" s="2" t="str">
        <f>"20006010507"</f>
        <v>20006010507</v>
      </c>
      <c r="F51" s="2">
        <v>80.5</v>
      </c>
      <c r="G51" s="3">
        <v>76.319999999999993</v>
      </c>
      <c r="H51" s="3">
        <f t="shared" si="3"/>
        <v>78.41</v>
      </c>
      <c r="I51" s="2">
        <v>3</v>
      </c>
      <c r="J51" s="5"/>
    </row>
    <row r="52" spans="1:10" ht="18" customHeight="1">
      <c r="A52" s="2">
        <v>49</v>
      </c>
      <c r="B52" s="2" t="s">
        <v>6</v>
      </c>
      <c r="C52" s="2" t="str">
        <f>"钱蓓蓓"</f>
        <v>钱蓓蓓</v>
      </c>
      <c r="D52" s="2" t="str">
        <f>"如皋市城南街道桃林社区"</f>
        <v>如皋市城南街道桃林社区</v>
      </c>
      <c r="E52" s="2" t="str">
        <f>"20006010222"</f>
        <v>20006010222</v>
      </c>
      <c r="F52" s="2">
        <v>82.5</v>
      </c>
      <c r="G52" s="3">
        <v>73.7</v>
      </c>
      <c r="H52" s="3">
        <f t="shared" si="3"/>
        <v>78.099999999999994</v>
      </c>
      <c r="I52" s="2">
        <v>4</v>
      </c>
      <c r="J52" s="5"/>
    </row>
    <row r="53" spans="1:10" ht="18" customHeight="1">
      <c r="A53" s="2">
        <v>50</v>
      </c>
      <c r="B53" s="2" t="s">
        <v>6</v>
      </c>
      <c r="C53" s="2" t="str">
        <f>"顾毅"</f>
        <v>顾毅</v>
      </c>
      <c r="D53" s="2" t="str">
        <f>"如皋市东陈镇杨庄社区"</f>
        <v>如皋市东陈镇杨庄社区</v>
      </c>
      <c r="E53" s="2" t="str">
        <f>"20006010522"</f>
        <v>20006010522</v>
      </c>
      <c r="F53" s="2">
        <v>79.5</v>
      </c>
      <c r="G53" s="3">
        <v>76.16</v>
      </c>
      <c r="H53" s="3">
        <f t="shared" si="3"/>
        <v>77.83</v>
      </c>
      <c r="I53" s="2">
        <v>5</v>
      </c>
      <c r="J53" s="5"/>
    </row>
    <row r="54" spans="1:10" ht="18" customHeight="1">
      <c r="A54" s="2">
        <v>51</v>
      </c>
      <c r="B54" s="2" t="s">
        <v>6</v>
      </c>
      <c r="C54" s="2" t="str">
        <f>"章敏"</f>
        <v>章敏</v>
      </c>
      <c r="D54" s="2" t="str">
        <f>"江苏省如皋市搬经镇加力社区"</f>
        <v>江苏省如皋市搬经镇加力社区</v>
      </c>
      <c r="E54" s="2" t="str">
        <f>"20006010514"</f>
        <v>20006010514</v>
      </c>
      <c r="F54" s="2">
        <v>80</v>
      </c>
      <c r="G54" s="3">
        <v>75.599999999999994</v>
      </c>
      <c r="H54" s="3">
        <f t="shared" si="3"/>
        <v>77.8</v>
      </c>
      <c r="I54" s="2">
        <v>6</v>
      </c>
      <c r="J54" s="5"/>
    </row>
    <row r="55" spans="1:10" ht="18" customHeight="1">
      <c r="A55" s="2">
        <v>52</v>
      </c>
      <c r="B55" s="2" t="s">
        <v>6</v>
      </c>
      <c r="C55" s="2" t="str">
        <f>"薛娟"</f>
        <v>薛娟</v>
      </c>
      <c r="D55" s="2" t="str">
        <f>"如皋市长江镇薛窑社区"</f>
        <v>如皋市长江镇薛窑社区</v>
      </c>
      <c r="E55" s="2" t="str">
        <f>"20006010314"</f>
        <v>20006010314</v>
      </c>
      <c r="F55" s="2">
        <v>80.5</v>
      </c>
      <c r="G55" s="3">
        <v>73.760000000000005</v>
      </c>
      <c r="H55" s="3">
        <f t="shared" si="3"/>
        <v>77.13</v>
      </c>
      <c r="I55" s="2">
        <v>7</v>
      </c>
      <c r="J55" s="5"/>
    </row>
    <row r="56" spans="1:10" ht="18" customHeight="1">
      <c r="A56" s="2">
        <v>53</v>
      </c>
      <c r="B56" s="2" t="s">
        <v>6</v>
      </c>
      <c r="C56" s="2" t="str">
        <f>"任新荣"</f>
        <v>任新荣</v>
      </c>
      <c r="D56" s="2" t="str">
        <f>"如皋市搬经镇任庄村"</f>
        <v>如皋市搬经镇任庄村</v>
      </c>
      <c r="E56" s="2" t="str">
        <f>"20006010505"</f>
        <v>20006010505</v>
      </c>
      <c r="F56" s="2">
        <v>79.5</v>
      </c>
      <c r="G56" s="3">
        <v>74.599999999999994</v>
      </c>
      <c r="H56" s="3">
        <f t="shared" si="3"/>
        <v>77.05</v>
      </c>
      <c r="I56" s="2">
        <v>8</v>
      </c>
      <c r="J56" s="5"/>
    </row>
    <row r="57" spans="1:10" ht="18" customHeight="1">
      <c r="A57" s="2">
        <v>54</v>
      </c>
      <c r="B57" s="2" t="s">
        <v>6</v>
      </c>
      <c r="C57" s="2" t="str">
        <f>"王建军"</f>
        <v>王建军</v>
      </c>
      <c r="D57" s="2" t="str">
        <f>"如皋市搬经镇土山村"</f>
        <v>如皋市搬经镇土山村</v>
      </c>
      <c r="E57" s="2" t="str">
        <f>"20006010528"</f>
        <v>20006010528</v>
      </c>
      <c r="F57" s="2">
        <v>81</v>
      </c>
      <c r="G57" s="3">
        <v>73.08</v>
      </c>
      <c r="H57" s="3">
        <f t="shared" si="3"/>
        <v>77.039999999999992</v>
      </c>
      <c r="I57" s="2">
        <v>9</v>
      </c>
      <c r="J57" s="5"/>
    </row>
    <row r="58" spans="1:10" ht="18" customHeight="1">
      <c r="A58" s="2">
        <v>55</v>
      </c>
      <c r="B58" s="2" t="s">
        <v>6</v>
      </c>
      <c r="C58" s="2" t="str">
        <f>"田军"</f>
        <v>田军</v>
      </c>
      <c r="D58" s="2" t="str">
        <f>"如皋市如城街道钱长村"</f>
        <v>如皋市如城街道钱长村</v>
      </c>
      <c r="E58" s="2" t="str">
        <f>"20006010326"</f>
        <v>20006010326</v>
      </c>
      <c r="F58" s="2">
        <v>79.5</v>
      </c>
      <c r="G58" s="3">
        <v>74.099999999999994</v>
      </c>
      <c r="H58" s="3">
        <f t="shared" si="3"/>
        <v>76.8</v>
      </c>
      <c r="I58" s="2">
        <v>10</v>
      </c>
      <c r="J58" s="5"/>
    </row>
    <row r="59" spans="1:10" ht="18" customHeight="1">
      <c r="A59" s="2">
        <v>56</v>
      </c>
      <c r="B59" s="2" t="s">
        <v>6</v>
      </c>
      <c r="C59" s="2" t="str">
        <f>"丁丽娜"</f>
        <v>丁丽娜</v>
      </c>
      <c r="D59" s="2" t="str">
        <f>"江苏省如皋市如城街道宏坝社区居委会"</f>
        <v>江苏省如皋市如城街道宏坝社区居委会</v>
      </c>
      <c r="E59" s="2" t="str">
        <f>"20006010213"</f>
        <v>20006010213</v>
      </c>
      <c r="F59" s="2">
        <v>79.5</v>
      </c>
      <c r="G59" s="3">
        <v>73.38</v>
      </c>
      <c r="H59" s="3">
        <f t="shared" si="3"/>
        <v>76.44</v>
      </c>
      <c r="I59" s="2">
        <v>11</v>
      </c>
      <c r="J59" s="6"/>
    </row>
  </sheetData>
  <mergeCells count="11">
    <mergeCell ref="J31:J35"/>
    <mergeCell ref="J36:J39"/>
    <mergeCell ref="J40:J48"/>
    <mergeCell ref="J49:J59"/>
    <mergeCell ref="A2:J2"/>
    <mergeCell ref="J4:J6"/>
    <mergeCell ref="J7:J11"/>
    <mergeCell ref="J12:J16"/>
    <mergeCell ref="J18:J19"/>
    <mergeCell ref="J20:J21"/>
    <mergeCell ref="J22:J30"/>
  </mergeCells>
  <phoneticPr fontId="2" type="noConversion"/>
  <printOptions horizontalCentered="1"/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1021_5fa369b8a84f8</vt:lpstr>
      <vt:lpstr>'1021_5fa369b8a84f8'!Print_Titles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2020-11-24T06:47:03Z</cp:lastPrinted>
  <dcterms:created xsi:type="dcterms:W3CDTF">2020-11-05T02:56:27Z</dcterms:created>
  <dcterms:modified xsi:type="dcterms:W3CDTF">2020-11-24T06:50:49Z</dcterms:modified>
</cp:coreProperties>
</file>